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25440" windowHeight="14560"/>
  </bookViews>
  <sheets>
    <sheet name="Ultimo Cost Sheet" sheetId="1" r:id="rId1"/>
    <sheet name="Payment Plans" sheetId="2" r:id="rId2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54" i="2"/>
  <c r="A46"/>
  <c r="A37"/>
  <c r="D23"/>
  <c r="C23"/>
  <c r="B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B31" i="1"/>
  <c r="B37"/>
  <c r="C9"/>
  <c r="C11"/>
  <c r="C16"/>
  <c r="C27"/>
  <c r="C37"/>
  <c r="A37"/>
  <c r="B36"/>
  <c r="C36"/>
  <c r="A36"/>
  <c r="B35"/>
  <c r="C35"/>
  <c r="A35"/>
  <c r="B34"/>
  <c r="C34"/>
  <c r="A34"/>
  <c r="B33"/>
  <c r="C33"/>
  <c r="A33"/>
  <c r="A31"/>
  <c r="C28"/>
  <c r="C26"/>
  <c r="C25"/>
  <c r="B25"/>
  <c r="C24"/>
  <c r="B24"/>
  <c r="C23"/>
  <c r="C22"/>
  <c r="C21"/>
  <c r="C20"/>
  <c r="C18"/>
  <c r="C17"/>
  <c r="C15"/>
  <c r="C13"/>
</calcChain>
</file>

<file path=xl/sharedStrings.xml><?xml version="1.0" encoding="utf-8"?>
<sst xmlns="http://schemas.openxmlformats.org/spreadsheetml/2006/main" count="163" uniqueCount="132">
  <si>
    <t>Rate Per Sqft</t>
  </si>
  <si>
    <t>Subvention/Special Plan Cost</t>
  </si>
  <si>
    <t>Additional Charges</t>
  </si>
  <si>
    <t>Basic Sale Price</t>
  </si>
  <si>
    <t>Lease Rent</t>
  </si>
  <si>
    <t xml:space="preserve">Payment Schedule </t>
  </si>
  <si>
    <t>On Application of Booking</t>
  </si>
  <si>
    <t>Reduced BSP</t>
  </si>
  <si>
    <t>Excluding service tax</t>
  </si>
  <si>
    <t xml:space="preserve">Car Parking </t>
  </si>
  <si>
    <t>%age</t>
  </si>
  <si>
    <t>Electric Meter</t>
  </si>
  <si>
    <t>Floor PLC</t>
  </si>
  <si>
    <t>Discount</t>
  </si>
  <si>
    <t xml:space="preserve"> </t>
  </si>
  <si>
    <t>Type</t>
  </si>
  <si>
    <t>Payment Plan</t>
    <phoneticPr fontId="13" type="noConversion"/>
  </si>
  <si>
    <t>Subvention</t>
    <phoneticPr fontId="13" type="noConversion"/>
  </si>
  <si>
    <t>Super 33 Flexi</t>
    <phoneticPr fontId="13" type="noConversion"/>
  </si>
  <si>
    <t>Assured Rental</t>
    <phoneticPr fontId="13" type="noConversion"/>
  </si>
  <si>
    <t>Payment Schedule</t>
  </si>
  <si>
    <t>Construction Cost</t>
  </si>
  <si>
    <t>Land Cost</t>
  </si>
  <si>
    <t>Total</t>
  </si>
  <si>
    <t>Within 30 days of Booking</t>
  </si>
  <si>
    <t>On Commencement of excavation</t>
  </si>
  <si>
    <t>On Commencement of foundation</t>
  </si>
  <si>
    <t>On Commencement of Podium</t>
  </si>
  <si>
    <t>On Commencement of 1st floor</t>
  </si>
  <si>
    <t>On Commencement of 3rd floor</t>
  </si>
  <si>
    <t>On Commencement of 5th floor</t>
  </si>
  <si>
    <t>On Commencement of 7th floor</t>
  </si>
  <si>
    <t>On Commencement of 9th floor</t>
  </si>
  <si>
    <t>On Commencement of 11th floor</t>
  </si>
  <si>
    <t>On Commencement of 12th floor</t>
  </si>
  <si>
    <t>On Commencement of 15th floor</t>
  </si>
  <si>
    <t>On Commencement of 16th floor</t>
  </si>
  <si>
    <t>On Commencement of 18th floor</t>
  </si>
  <si>
    <t>On Commencement of super structure</t>
  </si>
  <si>
    <t>Home @1% Per Month</t>
  </si>
  <si>
    <t>Home @1% Per Month</t>
    <phoneticPr fontId="13" type="noConversion"/>
  </si>
  <si>
    <t>On commencement of Brick Works</t>
  </si>
  <si>
    <t>On commencement of internal plaster</t>
  </si>
  <si>
    <t>On commencement of wiring/doors &amp; Windows</t>
  </si>
  <si>
    <t>On Commencement of Painting work</t>
  </si>
  <si>
    <t>At the time of possession</t>
  </si>
  <si>
    <t>CLP</t>
    <phoneticPr fontId="13" type="noConversion"/>
  </si>
  <si>
    <t>Migsun</t>
    <phoneticPr fontId="13" type="noConversion"/>
  </si>
  <si>
    <t>Ultimo</t>
    <phoneticPr fontId="13" type="noConversion"/>
  </si>
  <si>
    <t>Cheque to Be Drawn:</t>
    <phoneticPr fontId="13" type="noConversion"/>
  </si>
  <si>
    <t>Mahaluxmi Infrahome Pvt Ltd</t>
    <phoneticPr fontId="13" type="noConversion"/>
  </si>
  <si>
    <t>Subvention Amount</t>
    <phoneticPr fontId="13" type="noConversion"/>
  </si>
  <si>
    <t>On Structure</t>
    <phoneticPr fontId="13" type="noConversion"/>
  </si>
  <si>
    <t>On Possession</t>
  </si>
  <si>
    <t>On Possession</t>
    <phoneticPr fontId="13" type="noConversion"/>
  </si>
  <si>
    <t>On Booking</t>
  </si>
  <si>
    <t>On Booking</t>
    <phoneticPr fontId="13" type="noConversion"/>
  </si>
  <si>
    <t>Amount Paid</t>
    <phoneticPr fontId="13" type="noConversion"/>
  </si>
  <si>
    <t>Monthly Installments</t>
    <phoneticPr fontId="13" type="noConversion"/>
  </si>
  <si>
    <t>Sun 3</t>
  </si>
  <si>
    <t>Subvention Plan:</t>
  </si>
  <si>
    <t>In 45 days</t>
  </si>
  <si>
    <t>By Bank Loan</t>
  </si>
  <si>
    <t>Subvention cost extra as applicable Tower wise</t>
  </si>
  <si>
    <t>Self Funding Case(Sun 1-4)</t>
  </si>
  <si>
    <t>By Subvention Plan</t>
  </si>
  <si>
    <t>In Monthly Installments</t>
  </si>
  <si>
    <t>for 22 months</t>
  </si>
  <si>
    <t>for 33 months</t>
  </si>
  <si>
    <t>On Offer of Possession</t>
  </si>
  <si>
    <t>Subvention Cost</t>
  </si>
  <si>
    <t xml:space="preserve">as actual </t>
  </si>
  <si>
    <t>Sun(5,6 150 Rs Extra)</t>
  </si>
  <si>
    <t>(For Sun 1,Sun 2,Sun 3,Sun 4)</t>
  </si>
  <si>
    <t>In 45 Days</t>
  </si>
  <si>
    <t>On Comp of Str</t>
  </si>
  <si>
    <t>40% or above</t>
  </si>
  <si>
    <t>Assured return on this amount till next demand</t>
  </si>
  <si>
    <t>On 6th Floor</t>
  </si>
  <si>
    <t>On 11th Floor</t>
  </si>
  <si>
    <t>On 16th Floor</t>
  </si>
  <si>
    <t>On Str Completion</t>
  </si>
  <si>
    <t>Assured return @12% will be given on amount given more than 10%</t>
  </si>
  <si>
    <t>till construction reaches the point where this demand is due.</t>
  </si>
  <si>
    <t>Area of flat required</t>
  </si>
  <si>
    <t>=</t>
  </si>
  <si>
    <t>Sq Ft.</t>
  </si>
  <si>
    <t xml:space="preserve">Covered Car Parking </t>
  </si>
  <si>
    <t>/- Per Sq Ft.</t>
  </si>
  <si>
    <t>IFMS</t>
  </si>
  <si>
    <t>Power Back Up</t>
  </si>
  <si>
    <t xml:space="preserve">Lease Rent </t>
  </si>
  <si>
    <t>Club Membership</t>
  </si>
  <si>
    <t xml:space="preserve">View Plc </t>
  </si>
  <si>
    <t>Corner PLC</t>
  </si>
  <si>
    <t>View Plc</t>
  </si>
  <si>
    <t>Corner Plc</t>
  </si>
  <si>
    <t>Gross Total</t>
  </si>
  <si>
    <t>Cost Calculation Sheet</t>
  </si>
  <si>
    <t>Builder Name</t>
  </si>
  <si>
    <t>Project Name</t>
  </si>
  <si>
    <t>Size</t>
  </si>
  <si>
    <t>Floor Price</t>
  </si>
  <si>
    <t>Floor</t>
  </si>
  <si>
    <t>21st</t>
  </si>
  <si>
    <t>20th</t>
  </si>
  <si>
    <t>19th</t>
  </si>
  <si>
    <t>18th</t>
  </si>
  <si>
    <t>17th</t>
  </si>
  <si>
    <t>16th</t>
  </si>
  <si>
    <t>15th</t>
  </si>
  <si>
    <t>14th</t>
  </si>
  <si>
    <t>13th</t>
  </si>
  <si>
    <t>12th</t>
  </si>
  <si>
    <t>11th</t>
  </si>
  <si>
    <t>10th</t>
  </si>
  <si>
    <t>9th</t>
  </si>
  <si>
    <t>8th</t>
  </si>
  <si>
    <t>7th</t>
  </si>
  <si>
    <t>6th</t>
  </si>
  <si>
    <t>5th</t>
  </si>
  <si>
    <t>4th</t>
  </si>
  <si>
    <t>3rd</t>
  </si>
  <si>
    <t>2nd</t>
  </si>
  <si>
    <t>1st</t>
  </si>
  <si>
    <t>At Possession</t>
  </si>
  <si>
    <t>Payment Plan</t>
  </si>
  <si>
    <t>Electricity  Installation Charges.</t>
  </si>
  <si>
    <t xml:space="preserve">Power Back Up. </t>
  </si>
  <si>
    <t>Tower</t>
  </si>
  <si>
    <t>Possession Charges</t>
  </si>
  <si>
    <t>Normal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</si>
</sst>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20"/>
      <color theme="1"/>
      <name val="Calibri"/>
      <family val="2"/>
      <scheme val="minor"/>
    </font>
    <font>
      <b/>
      <u/>
      <sz val="11"/>
      <color indexed="8"/>
      <name val="Arial Unicode MS"/>
      <family val="2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Verdana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9" fontId="12" fillId="0" borderId="0" applyFont="0" applyFill="0" applyBorder="0" applyAlignment="0" applyProtection="0"/>
  </cellStyleXfs>
  <cellXfs count="63">
    <xf numFmtId="0" fontId="0" fillId="0" borderId="0" xfId="0"/>
    <xf numFmtId="0" fontId="2" fillId="3" borderId="5" xfId="0" applyFont="1" applyFill="1" applyBorder="1"/>
    <xf numFmtId="0" fontId="2" fillId="3" borderId="6" xfId="0" applyFont="1" applyFill="1" applyBorder="1"/>
    <xf numFmtId="0" fontId="1" fillId="6" borderId="1" xfId="0" applyFont="1" applyFill="1" applyBorder="1"/>
    <xf numFmtId="0" fontId="0" fillId="6" borderId="0" xfId="0" applyFill="1" applyBorder="1"/>
    <xf numFmtId="0" fontId="0" fillId="7" borderId="1" xfId="0" applyFill="1" applyBorder="1"/>
    <xf numFmtId="0" fontId="0" fillId="7" borderId="0" xfId="0" applyFill="1" applyBorder="1"/>
    <xf numFmtId="0" fontId="5" fillId="8" borderId="2" xfId="0" applyFont="1" applyFill="1" applyBorder="1"/>
    <xf numFmtId="0" fontId="5" fillId="8" borderId="3" xfId="0" applyFont="1" applyFill="1" applyBorder="1"/>
    <xf numFmtId="1" fontId="0" fillId="0" borderId="0" xfId="0" applyNumberFormat="1"/>
    <xf numFmtId="0" fontId="1" fillId="2" borderId="6" xfId="0" applyFont="1" applyFill="1" applyBorder="1" applyAlignment="1">
      <alignment horizontal="right"/>
    </xf>
    <xf numFmtId="0" fontId="0" fillId="9" borderId="6" xfId="0" applyFill="1" applyBorder="1" applyAlignment="1">
      <alignment horizontal="center"/>
    </xf>
    <xf numFmtId="0" fontId="1" fillId="0" borderId="0" xfId="0" applyFont="1"/>
    <xf numFmtId="0" fontId="1" fillId="11" borderId="6" xfId="0" applyFont="1" applyFill="1" applyBorder="1" applyAlignment="1" applyProtection="1">
      <alignment horizontal="center"/>
      <protection locked="0"/>
    </xf>
    <xf numFmtId="1" fontId="0" fillId="9" borderId="6" xfId="0" applyNumberFormat="1" applyFill="1" applyBorder="1" applyAlignment="1">
      <alignment horizontal="center"/>
    </xf>
    <xf numFmtId="9" fontId="0" fillId="0" borderId="0" xfId="0" applyNumberFormat="1"/>
    <xf numFmtId="0" fontId="0" fillId="7" borderId="6" xfId="0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2" fillId="4" borderId="10" xfId="0" applyFont="1" applyFill="1" applyBorder="1"/>
    <xf numFmtId="0" fontId="1" fillId="11" borderId="11" xfId="0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/>
    <xf numFmtId="0" fontId="2" fillId="4" borderId="12" xfId="0" applyFont="1" applyFill="1" applyBorder="1"/>
    <xf numFmtId="0" fontId="0" fillId="9" borderId="13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4" fillId="3" borderId="6" xfId="0" applyFont="1" applyFill="1" applyBorder="1"/>
    <xf numFmtId="0" fontId="1" fillId="3" borderId="7" xfId="0" applyFont="1" applyFill="1" applyBorder="1" applyAlignment="1">
      <alignment horizontal="center"/>
    </xf>
    <xf numFmtId="1" fontId="1" fillId="9" borderId="6" xfId="0" applyNumberFormat="1" applyFont="1" applyFill="1" applyBorder="1" applyAlignment="1">
      <alignment horizontal="center"/>
    </xf>
    <xf numFmtId="1" fontId="0" fillId="2" borderId="6" xfId="0" applyNumberFormat="1" applyFont="1" applyFill="1" applyBorder="1" applyAlignment="1" applyProtection="1">
      <alignment horizontal="center"/>
      <protection hidden="1"/>
    </xf>
    <xf numFmtId="10" fontId="0" fillId="7" borderId="6" xfId="4" applyNumberFormat="1" applyFont="1" applyFill="1" applyBorder="1" applyAlignment="1">
      <alignment horizontal="center"/>
    </xf>
    <xf numFmtId="0" fontId="8" fillId="5" borderId="1" xfId="0" applyFont="1" applyFill="1" applyBorder="1"/>
    <xf numFmtId="0" fontId="2" fillId="5" borderId="0" xfId="0" applyFont="1" applyFill="1" applyBorder="1"/>
    <xf numFmtId="0" fontId="7" fillId="2" borderId="5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/>
    </xf>
    <xf numFmtId="0" fontId="0" fillId="2" borderId="6" xfId="0" applyFont="1" applyFill="1" applyBorder="1" applyAlignment="1" applyProtection="1">
      <alignment horizontal="center"/>
      <protection hidden="1"/>
    </xf>
    <xf numFmtId="1" fontId="3" fillId="2" borderId="6" xfId="0" applyNumberFormat="1" applyFont="1" applyFill="1" applyBorder="1" applyAlignment="1" applyProtection="1">
      <alignment horizontal="center"/>
      <protection hidden="1"/>
    </xf>
    <xf numFmtId="1" fontId="0" fillId="7" borderId="6" xfId="0" applyNumberFormat="1" applyFill="1" applyBorder="1" applyAlignment="1" applyProtection="1">
      <alignment horizontal="center"/>
      <protection hidden="1"/>
    </xf>
    <xf numFmtId="9" fontId="0" fillId="9" borderId="6" xfId="4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0" fontId="15" fillId="0" borderId="6" xfId="0" applyFont="1" applyBorder="1" applyAlignment="1">
      <alignment horizontal="center"/>
    </xf>
    <xf numFmtId="10" fontId="15" fillId="0" borderId="6" xfId="0" applyNumberFormat="1" applyFont="1" applyBorder="1" applyAlignment="1">
      <alignment horizontal="center"/>
    </xf>
    <xf numFmtId="0" fontId="2" fillId="13" borderId="15" xfId="0" applyFont="1" applyFill="1" applyBorder="1"/>
    <xf numFmtId="0" fontId="0" fillId="14" borderId="16" xfId="0" applyFill="1" applyBorder="1" applyAlignment="1">
      <alignment horizontal="center"/>
    </xf>
    <xf numFmtId="0" fontId="1" fillId="12" borderId="17" xfId="0" applyFont="1" applyFill="1" applyBorder="1"/>
    <xf numFmtId="0" fontId="1" fillId="12" borderId="8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1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15" fillId="12" borderId="8" xfId="0" applyFont="1" applyFill="1" applyBorder="1" applyAlignment="1">
      <alignment horizontal="center"/>
    </xf>
    <xf numFmtId="0" fontId="15" fillId="0" borderId="0" xfId="0" applyFont="1"/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0" fillId="9" borderId="6" xfId="0" applyFill="1" applyBorder="1" applyAlignment="1">
      <alignment horizontal="left"/>
    </xf>
    <xf numFmtId="0" fontId="0" fillId="9" borderId="6" xfId="0" applyFont="1" applyFill="1" applyBorder="1" applyAlignment="1">
      <alignment horizontal="left"/>
    </xf>
    <xf numFmtId="0" fontId="1" fillId="11" borderId="6" xfId="0" applyFont="1" applyFill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5">
    <cellStyle name="Followed Hyperlink" xfId="2" builtinId="9" hidden="1"/>
    <cellStyle name="Hyperlink" xfId="1" builtinId="8" hidden="1"/>
    <cellStyle name="Normal" xfId="0" builtinId="0"/>
    <cellStyle name="Normal 2 2" xfId="3"/>
    <cellStyle name="Percent" xfId="4" builtin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autoPageBreaks="0"/>
  </sheetPr>
  <dimension ref="A1:U37"/>
  <sheetViews>
    <sheetView tabSelected="1" zoomScale="110" zoomScaleNormal="110" zoomScalePageLayoutView="110" workbookViewId="0">
      <selection activeCell="G24" sqref="G24"/>
    </sheetView>
  </sheetViews>
  <sheetFormatPr baseColWidth="10" defaultColWidth="8.83203125" defaultRowHeight="14"/>
  <cols>
    <col min="1" max="1" width="23.6640625" customWidth="1"/>
    <col min="2" max="2" width="10.33203125" customWidth="1"/>
    <col min="3" max="3" width="13.5" customWidth="1"/>
    <col min="4" max="4" width="13.1640625" customWidth="1"/>
    <col min="5" max="5" width="11.83203125" customWidth="1"/>
    <col min="6" max="6" width="8.33203125" customWidth="1"/>
    <col min="7" max="7" width="13.5" customWidth="1"/>
    <col min="8" max="8" width="7.33203125" bestFit="1" customWidth="1"/>
    <col min="13" max="15" width="8.83203125" hidden="1" customWidth="1"/>
    <col min="16" max="16" width="21.5" hidden="1" customWidth="1"/>
    <col min="17" max="17" width="14.33203125" hidden="1" customWidth="1"/>
    <col min="18" max="21" width="8.83203125" hidden="1" customWidth="1"/>
    <col min="22" max="23" width="0" hidden="1" customWidth="1"/>
  </cols>
  <sheetData>
    <row r="1" spans="1:21">
      <c r="A1" s="57" t="s">
        <v>98</v>
      </c>
      <c r="B1" s="57"/>
      <c r="C1" s="57"/>
      <c r="M1" t="s">
        <v>101</v>
      </c>
      <c r="N1" t="s">
        <v>102</v>
      </c>
      <c r="O1" t="s">
        <v>131</v>
      </c>
      <c r="P1" t="s">
        <v>16</v>
      </c>
      <c r="Q1" t="s">
        <v>56</v>
      </c>
      <c r="R1" t="s">
        <v>51</v>
      </c>
      <c r="S1" t="s">
        <v>58</v>
      </c>
      <c r="T1" t="s">
        <v>52</v>
      </c>
      <c r="U1" t="s">
        <v>54</v>
      </c>
    </row>
    <row r="2" spans="1:21">
      <c r="A2" s="57"/>
      <c r="B2" s="57"/>
      <c r="C2" s="57"/>
      <c r="M2">
        <v>1005</v>
      </c>
      <c r="N2" t="s">
        <v>104</v>
      </c>
      <c r="O2">
        <v>2285</v>
      </c>
      <c r="P2" t="s">
        <v>17</v>
      </c>
      <c r="Q2" s="15">
        <v>0.05</v>
      </c>
      <c r="R2" s="15">
        <v>0.8</v>
      </c>
      <c r="T2" s="15"/>
      <c r="U2" s="15">
        <v>0.15</v>
      </c>
    </row>
    <row r="3" spans="1:21">
      <c r="A3" s="10" t="s">
        <v>99</v>
      </c>
      <c r="B3" s="58" t="s">
        <v>47</v>
      </c>
      <c r="C3" s="59"/>
      <c r="M3">
        <v>1150</v>
      </c>
      <c r="N3" t="s">
        <v>105</v>
      </c>
      <c r="O3">
        <v>2325</v>
      </c>
      <c r="P3" t="s">
        <v>40</v>
      </c>
      <c r="Q3" s="52">
        <v>0.111</v>
      </c>
      <c r="R3" s="52">
        <v>0.33300000000000002</v>
      </c>
      <c r="S3" s="52">
        <v>0.222</v>
      </c>
      <c r="T3" s="52">
        <v>0</v>
      </c>
      <c r="U3" s="52">
        <v>0.33300000000000002</v>
      </c>
    </row>
    <row r="4" spans="1:21">
      <c r="A4" s="10" t="s">
        <v>100</v>
      </c>
      <c r="B4" s="58" t="s">
        <v>48</v>
      </c>
      <c r="C4" s="59"/>
      <c r="M4">
        <v>1395</v>
      </c>
      <c r="N4" t="s">
        <v>106</v>
      </c>
      <c r="O4">
        <v>2365</v>
      </c>
      <c r="P4" t="s">
        <v>18</v>
      </c>
      <c r="Q4" s="52">
        <v>0.33300000000000002</v>
      </c>
      <c r="T4" s="52">
        <v>0.33300000000000002</v>
      </c>
      <c r="U4" s="52">
        <v>0.33300000000000002</v>
      </c>
    </row>
    <row r="5" spans="1:21">
      <c r="A5" s="10" t="s">
        <v>129</v>
      </c>
      <c r="B5" s="60" t="s">
        <v>59</v>
      </c>
      <c r="C5" s="60"/>
      <c r="M5">
        <v>1595</v>
      </c>
      <c r="N5" t="s">
        <v>107</v>
      </c>
      <c r="O5">
        <v>2405</v>
      </c>
      <c r="P5" t="s">
        <v>19</v>
      </c>
      <c r="Q5" s="15">
        <v>0.1</v>
      </c>
      <c r="R5" s="15">
        <v>0.4</v>
      </c>
    </row>
    <row r="6" spans="1:21">
      <c r="A6" s="10" t="s">
        <v>103</v>
      </c>
      <c r="B6" s="60" t="s">
        <v>104</v>
      </c>
      <c r="C6" s="60"/>
      <c r="N6" t="s">
        <v>108</v>
      </c>
      <c r="O6">
        <v>2445</v>
      </c>
      <c r="P6" t="s">
        <v>46</v>
      </c>
      <c r="Q6" s="15">
        <v>0.1</v>
      </c>
      <c r="R6" s="15"/>
      <c r="S6" s="15"/>
      <c r="T6" s="15"/>
      <c r="U6" s="15"/>
    </row>
    <row r="7" spans="1:21" ht="15" thickBot="1">
      <c r="A7" s="10" t="s">
        <v>126</v>
      </c>
      <c r="B7" s="60" t="s">
        <v>39</v>
      </c>
      <c r="C7" s="60"/>
      <c r="N7" t="s">
        <v>109</v>
      </c>
      <c r="O7">
        <v>2485</v>
      </c>
    </row>
    <row r="8" spans="1:21" ht="16" thickBot="1">
      <c r="A8" s="1" t="s">
        <v>84</v>
      </c>
      <c r="B8" s="17" t="s">
        <v>85</v>
      </c>
      <c r="C8" s="13">
        <v>1005</v>
      </c>
      <c r="D8" t="s">
        <v>86</v>
      </c>
      <c r="E8" s="55" t="s">
        <v>2</v>
      </c>
      <c r="F8" s="56"/>
      <c r="G8" s="55" t="s">
        <v>130</v>
      </c>
      <c r="H8" s="56"/>
      <c r="N8" t="s">
        <v>110</v>
      </c>
      <c r="O8">
        <v>2525</v>
      </c>
    </row>
    <row r="9" spans="1:21">
      <c r="A9" s="2" t="s">
        <v>0</v>
      </c>
      <c r="B9" s="17" t="s">
        <v>85</v>
      </c>
      <c r="C9" s="14">
        <f>VLOOKUP(B6,N:O,2,0)</f>
        <v>2285</v>
      </c>
      <c r="D9" t="s">
        <v>88</v>
      </c>
      <c r="E9" s="18" t="s">
        <v>93</v>
      </c>
      <c r="F9" s="19">
        <v>75</v>
      </c>
      <c r="G9" s="21" t="s">
        <v>89</v>
      </c>
      <c r="H9" s="22">
        <v>30</v>
      </c>
      <c r="N9" t="s">
        <v>111</v>
      </c>
      <c r="O9">
        <v>2565</v>
      </c>
    </row>
    <row r="10" spans="1:21">
      <c r="A10" s="2" t="s">
        <v>13</v>
      </c>
      <c r="B10" s="17" t="s">
        <v>85</v>
      </c>
      <c r="C10" s="37">
        <v>0</v>
      </c>
      <c r="D10" t="s">
        <v>88</v>
      </c>
      <c r="E10" s="20" t="s">
        <v>94</v>
      </c>
      <c r="F10" s="19">
        <v>0</v>
      </c>
      <c r="G10" s="18" t="s">
        <v>11</v>
      </c>
      <c r="H10" s="23">
        <v>12500</v>
      </c>
      <c r="N10" t="s">
        <v>112</v>
      </c>
      <c r="O10">
        <v>2605</v>
      </c>
    </row>
    <row r="11" spans="1:21">
      <c r="A11" s="25" t="s">
        <v>7</v>
      </c>
      <c r="B11" s="26" t="s">
        <v>85</v>
      </c>
      <c r="C11" s="27">
        <f>C9*(1-C10)</f>
        <v>2285</v>
      </c>
      <c r="D11" t="s">
        <v>88</v>
      </c>
      <c r="E11" s="21" t="s">
        <v>9</v>
      </c>
      <c r="F11" s="19">
        <v>250000</v>
      </c>
      <c r="G11" s="21" t="s">
        <v>90</v>
      </c>
      <c r="H11" s="23">
        <v>30000</v>
      </c>
      <c r="N11" t="s">
        <v>113</v>
      </c>
      <c r="O11">
        <v>2645</v>
      </c>
    </row>
    <row r="12" spans="1:21">
      <c r="A12" s="2" t="s">
        <v>1</v>
      </c>
      <c r="B12" s="33" t="s">
        <v>85</v>
      </c>
      <c r="C12" s="13"/>
      <c r="D12" t="s">
        <v>88</v>
      </c>
      <c r="E12" s="18" t="s">
        <v>92</v>
      </c>
      <c r="F12" s="19">
        <v>95000</v>
      </c>
      <c r="N12" t="s">
        <v>114</v>
      </c>
      <c r="O12">
        <v>2685</v>
      </c>
    </row>
    <row r="13" spans="1:21" ht="15" thickBot="1">
      <c r="A13" s="2" t="s">
        <v>15</v>
      </c>
      <c r="B13" s="33" t="s">
        <v>85</v>
      </c>
      <c r="C13" s="11" t="str">
        <f>IF(C8&lt;1160,"2BHK","3BHK")</f>
        <v>2BHK</v>
      </c>
      <c r="D13" t="s">
        <v>88</v>
      </c>
      <c r="E13" s="45" t="s">
        <v>91</v>
      </c>
      <c r="F13" s="46">
        <v>95</v>
      </c>
      <c r="N13" t="s">
        <v>115</v>
      </c>
      <c r="O13">
        <v>2725</v>
      </c>
    </row>
    <row r="14" spans="1:21">
      <c r="A14" s="2"/>
      <c r="B14" s="33"/>
      <c r="C14" s="11"/>
      <c r="N14" t="s">
        <v>116</v>
      </c>
      <c r="O14">
        <v>2765</v>
      </c>
    </row>
    <row r="15" spans="1:21" ht="18" customHeight="1">
      <c r="A15" s="30" t="s">
        <v>126</v>
      </c>
      <c r="B15" s="31"/>
      <c r="C15" s="32" t="str">
        <f>B7</f>
        <v>Home @1% Per Month</v>
      </c>
      <c r="N15" t="s">
        <v>117</v>
      </c>
      <c r="O15">
        <v>2805</v>
      </c>
    </row>
    <row r="16" spans="1:21">
      <c r="A16" s="3" t="s">
        <v>3</v>
      </c>
      <c r="B16" s="4"/>
      <c r="C16" s="28">
        <f>(C11-C14)*C8</f>
        <v>2296425</v>
      </c>
      <c r="N16" t="s">
        <v>118</v>
      </c>
      <c r="O16">
        <v>2845</v>
      </c>
    </row>
    <row r="17" spans="1:15">
      <c r="A17" s="5" t="s">
        <v>95</v>
      </c>
      <c r="B17" s="6"/>
      <c r="C17" s="34">
        <f>C8*F9</f>
        <v>75375</v>
      </c>
      <c r="N17" t="s">
        <v>119</v>
      </c>
      <c r="O17">
        <v>2885</v>
      </c>
    </row>
    <row r="18" spans="1:15">
      <c r="A18" s="5" t="s">
        <v>1</v>
      </c>
      <c r="B18" s="6"/>
      <c r="C18" s="34">
        <f>C12*C8</f>
        <v>0</v>
      </c>
      <c r="N18" t="s">
        <v>120</v>
      </c>
      <c r="O18">
        <v>2925</v>
      </c>
    </row>
    <row r="19" spans="1:15">
      <c r="A19" s="5" t="s">
        <v>12</v>
      </c>
      <c r="B19" s="6"/>
      <c r="C19" s="34">
        <v>0</v>
      </c>
      <c r="E19" t="s">
        <v>14</v>
      </c>
      <c r="N19" t="s">
        <v>121</v>
      </c>
      <c r="O19">
        <v>2965</v>
      </c>
    </row>
    <row r="20" spans="1:15">
      <c r="A20" s="5" t="s">
        <v>96</v>
      </c>
      <c r="B20" s="6"/>
      <c r="C20" s="34">
        <f>C8*F10</f>
        <v>0</v>
      </c>
      <c r="N20" t="s">
        <v>122</v>
      </c>
      <c r="O20">
        <v>3005</v>
      </c>
    </row>
    <row r="21" spans="1:15">
      <c r="A21" s="5" t="s">
        <v>87</v>
      </c>
      <c r="B21" s="6"/>
      <c r="C21" s="34">
        <f>F11</f>
        <v>250000</v>
      </c>
      <c r="N21" t="s">
        <v>123</v>
      </c>
      <c r="O21">
        <v>3045</v>
      </c>
    </row>
    <row r="22" spans="1:15">
      <c r="A22" s="5" t="s">
        <v>4</v>
      </c>
      <c r="B22" s="6"/>
      <c r="C22" s="34">
        <f>C8*F13</f>
        <v>95475</v>
      </c>
      <c r="N22" t="s">
        <v>124</v>
      </c>
      <c r="O22">
        <v>3085</v>
      </c>
    </row>
    <row r="23" spans="1:15">
      <c r="A23" s="5" t="s">
        <v>92</v>
      </c>
      <c r="B23" s="6"/>
      <c r="C23" s="34">
        <f>F12</f>
        <v>95000</v>
      </c>
    </row>
    <row r="24" spans="1:15">
      <c r="A24" s="5" t="s">
        <v>127</v>
      </c>
      <c r="B24" s="24" t="str">
        <f>IF(C8&gt;1290,"5KW","4KW")</f>
        <v>4KW</v>
      </c>
      <c r="C24" s="34">
        <f>IF(C8&gt;1290,5,4)*H10</f>
        <v>50000</v>
      </c>
      <c r="D24" t="s">
        <v>125</v>
      </c>
    </row>
    <row r="25" spans="1:15">
      <c r="A25" s="5" t="s">
        <v>128</v>
      </c>
      <c r="B25" s="24" t="str">
        <f>IF(C8&gt;1290,"3KVA","2KVA")</f>
        <v>2KVA</v>
      </c>
      <c r="C25" s="34">
        <f>IF(C8&gt;1290,3,2)*H11</f>
        <v>60000</v>
      </c>
      <c r="D25" t="s">
        <v>125</v>
      </c>
    </row>
    <row r="26" spans="1:15" ht="15" thickBot="1">
      <c r="A26" s="5" t="s">
        <v>89</v>
      </c>
      <c r="B26" s="6"/>
      <c r="C26" s="34">
        <f>C8*H9</f>
        <v>30150</v>
      </c>
      <c r="D26" t="s">
        <v>125</v>
      </c>
      <c r="G26" s="9"/>
    </row>
    <row r="27" spans="1:15" ht="16" thickBot="1">
      <c r="A27" s="7" t="s">
        <v>97</v>
      </c>
      <c r="B27" s="8"/>
      <c r="C27" s="35">
        <f>SUM(C16:C23)</f>
        <v>2812275</v>
      </c>
      <c r="D27" t="s">
        <v>8</v>
      </c>
      <c r="G27" s="9"/>
    </row>
    <row r="28" spans="1:15">
      <c r="A28" s="16" t="s">
        <v>130</v>
      </c>
      <c r="B28" s="16"/>
      <c r="C28" s="36">
        <f>SUM(C24:C26)</f>
        <v>140150</v>
      </c>
      <c r="D28" t="s">
        <v>8</v>
      </c>
    </row>
    <row r="29" spans="1:15">
      <c r="A29" s="6" t="s">
        <v>49</v>
      </c>
      <c r="B29" s="16" t="s">
        <v>50</v>
      </c>
      <c r="C29" s="36"/>
    </row>
    <row r="31" spans="1:15">
      <c r="A31" s="49" t="str">
        <f>A7</f>
        <v>Payment Plan</v>
      </c>
      <c r="B31" s="61" t="str">
        <f>B7</f>
        <v>Home @1% Per Month</v>
      </c>
      <c r="C31" s="62"/>
    </row>
    <row r="32" spans="1:15" ht="15" thickBot="1">
      <c r="A32" s="47" t="s">
        <v>5</v>
      </c>
      <c r="B32" s="48" t="s">
        <v>10</v>
      </c>
      <c r="C32" s="53" t="s">
        <v>57</v>
      </c>
    </row>
    <row r="33" spans="1:4">
      <c r="A33" s="29" t="str">
        <f>Q1</f>
        <v>On Booking</v>
      </c>
      <c r="B33" s="29">
        <f>VLOOKUP($B$31,$P$2:$V$6,2,0)</f>
        <v>0.111</v>
      </c>
      <c r="C33" s="36">
        <f>$C$27*B33</f>
        <v>312162.52500000002</v>
      </c>
      <c r="D33" t="s">
        <v>8</v>
      </c>
    </row>
    <row r="34" spans="1:4">
      <c r="A34" s="29" t="str">
        <f>R1</f>
        <v>Subvention Amount</v>
      </c>
      <c r="B34" s="29">
        <f>VLOOKUP($B$31,$P$2:$V$6,3,0)</f>
        <v>0.33300000000000002</v>
      </c>
      <c r="C34" s="36">
        <f t="shared" ref="C34:C37" si="0">$C$27*B34</f>
        <v>936487.57500000007</v>
      </c>
      <c r="D34" t="s">
        <v>8</v>
      </c>
    </row>
    <row r="35" spans="1:4">
      <c r="A35" s="29" t="str">
        <f>S1</f>
        <v>Monthly Installments</v>
      </c>
      <c r="B35" s="29">
        <f>VLOOKUP($B$31,$P$2:$V$6,4,0)</f>
        <v>0.222</v>
      </c>
      <c r="C35" s="36">
        <f t="shared" si="0"/>
        <v>624325.05000000005</v>
      </c>
      <c r="D35" t="s">
        <v>8</v>
      </c>
    </row>
    <row r="36" spans="1:4">
      <c r="A36" s="29" t="str">
        <f>T1</f>
        <v>On Structure</v>
      </c>
      <c r="B36" s="29">
        <f>VLOOKUP($B$31,$P$2:$V$6,5,0)</f>
        <v>0</v>
      </c>
      <c r="C36" s="36">
        <f t="shared" si="0"/>
        <v>0</v>
      </c>
      <c r="D36" t="s">
        <v>8</v>
      </c>
    </row>
    <row r="37" spans="1:4">
      <c r="A37" s="29" t="str">
        <f>U1</f>
        <v>On Possession</v>
      </c>
      <c r="B37" s="29">
        <f>VLOOKUP($B$31,$P$2:$V$6,6,0)</f>
        <v>0.33300000000000002</v>
      </c>
      <c r="C37" s="36">
        <f t="shared" si="0"/>
        <v>936487.57500000007</v>
      </c>
      <c r="D37" t="s">
        <v>8</v>
      </c>
    </row>
  </sheetData>
  <mergeCells count="9">
    <mergeCell ref="B31:C31"/>
    <mergeCell ref="E8:F8"/>
    <mergeCell ref="G8:H8"/>
    <mergeCell ref="A1:C2"/>
    <mergeCell ref="B3:C3"/>
    <mergeCell ref="B4:C4"/>
    <mergeCell ref="B7:C7"/>
    <mergeCell ref="B6:C6"/>
    <mergeCell ref="B5:C5"/>
  </mergeCells>
  <phoneticPr fontId="13" type="noConversion"/>
  <dataValidations count="4">
    <dataValidation type="list" allowBlank="1" showInputMessage="1" showErrorMessage="1" sqref="B5:C5">
      <formula1>"Sun 1,Sun 2,Sun 3,Sun 4,Sun 5"</formula1>
    </dataValidation>
    <dataValidation type="list" allowBlank="1" showInputMessage="1" showErrorMessage="1" sqref="B7:C7">
      <formula1>$P$2:$P$6</formula1>
    </dataValidation>
    <dataValidation type="list" allowBlank="1" showInputMessage="1" showErrorMessage="1" sqref="B6:C6">
      <formula1>$N$2:$N$22</formula1>
    </dataValidation>
    <dataValidation type="list" allowBlank="1" showInputMessage="1" showErrorMessage="1" sqref="C8">
      <formula1>$M$2:$M$5</formula1>
    </dataValidation>
  </dataValidations>
  <pageMargins left="0.7" right="0.7" top="0.75" bottom="0.75" header="0.3" footer="0.3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Calculation!$A$2:$A$5</xm:f>
          </x14:formula1>
          <xm:sqref>C8</xm:sqref>
        </x14:dataValidation>
        <x14:dataValidation type="list" allowBlank="1" showInputMessage="1" showErrorMessage="1">
          <x14:formula1>
            <xm:f>Calculation!$B$2:$B$22</xm:f>
          </x14:formula1>
          <xm:sqref>B6:C6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autoPageBreaks="0"/>
  </sheetPr>
  <dimension ref="A1:E63"/>
  <sheetViews>
    <sheetView topLeftCell="A22" workbookViewId="0">
      <selection activeCell="A54" sqref="A54"/>
    </sheetView>
  </sheetViews>
  <sheetFormatPr baseColWidth="10" defaultColWidth="8.83203125" defaultRowHeight="14"/>
  <cols>
    <col min="1" max="1" width="25" customWidth="1"/>
    <col min="5" max="5" width="9.1640625" bestFit="1" customWidth="1"/>
  </cols>
  <sheetData>
    <row r="1" spans="1:5" ht="18">
      <c r="A1" s="38" t="s">
        <v>20</v>
      </c>
      <c r="B1" s="38" t="s">
        <v>21</v>
      </c>
      <c r="C1" s="38" t="s">
        <v>22</v>
      </c>
      <c r="D1" s="38" t="s">
        <v>23</v>
      </c>
      <c r="E1" s="12"/>
    </row>
    <row r="2" spans="1:5">
      <c r="A2" s="39" t="s">
        <v>6</v>
      </c>
      <c r="B2" s="40">
        <v>4.9500000000000002E-2</v>
      </c>
      <c r="C2" s="40"/>
      <c r="D2" s="40">
        <f>B2+C2</f>
        <v>4.9500000000000002E-2</v>
      </c>
      <c r="E2" s="50">
        <f>'Ultimo Cost Sheet'!$C$27*'Payment Plans'!D2</f>
        <v>139207.61250000002</v>
      </c>
    </row>
    <row r="3" spans="1:5">
      <c r="A3" s="39" t="s">
        <v>24</v>
      </c>
      <c r="B3" s="40">
        <v>4.9500000000000002E-2</v>
      </c>
      <c r="C3" s="40"/>
      <c r="D3" s="40">
        <f>B3+C3</f>
        <v>4.9500000000000002E-2</v>
      </c>
      <c r="E3" s="50">
        <f>'Ultimo Cost Sheet'!$C$27*'Payment Plans'!D3</f>
        <v>139207.61250000002</v>
      </c>
    </row>
    <row r="4" spans="1:5">
      <c r="A4" s="39" t="s">
        <v>25</v>
      </c>
      <c r="B4" s="40">
        <v>2.9499999999999998E-2</v>
      </c>
      <c r="C4" s="40"/>
      <c r="D4" s="40">
        <f t="shared" ref="D4:D22" si="0">B4+C4</f>
        <v>2.9499999999999998E-2</v>
      </c>
      <c r="E4" s="50">
        <f>'Ultimo Cost Sheet'!$C$27*'Payment Plans'!D4</f>
        <v>82962.112499999988</v>
      </c>
    </row>
    <row r="5" spans="1:5">
      <c r="A5" s="39" t="s">
        <v>26</v>
      </c>
      <c r="B5" s="40">
        <v>2.9499999999999998E-2</v>
      </c>
      <c r="C5" s="40"/>
      <c r="D5" s="40">
        <f t="shared" si="0"/>
        <v>2.9499999999999998E-2</v>
      </c>
      <c r="E5" s="50">
        <f>'Ultimo Cost Sheet'!$C$27*'Payment Plans'!D5</f>
        <v>82962.112499999988</v>
      </c>
    </row>
    <row r="6" spans="1:5">
      <c r="A6" s="39" t="s">
        <v>27</v>
      </c>
      <c r="B6" s="40">
        <v>2.9499999999999998E-2</v>
      </c>
      <c r="C6" s="40"/>
      <c r="D6" s="40">
        <f t="shared" si="0"/>
        <v>2.9499999999999998E-2</v>
      </c>
      <c r="E6" s="50">
        <f>'Ultimo Cost Sheet'!$C$27*'Payment Plans'!D6</f>
        <v>82962.112499999988</v>
      </c>
    </row>
    <row r="7" spans="1:5">
      <c r="A7" s="39" t="s">
        <v>28</v>
      </c>
      <c r="B7" s="40">
        <v>2.9499999999999998E-2</v>
      </c>
      <c r="C7" s="40"/>
      <c r="D7" s="40">
        <f t="shared" si="0"/>
        <v>2.9499999999999998E-2</v>
      </c>
      <c r="E7" s="50">
        <f>'Ultimo Cost Sheet'!$C$27*'Payment Plans'!D7</f>
        <v>82962.112499999988</v>
      </c>
    </row>
    <row r="8" spans="1:5">
      <c r="A8" s="39" t="s">
        <v>29</v>
      </c>
      <c r="B8" s="40">
        <v>2.9499999999999998E-2</v>
      </c>
      <c r="C8" s="40"/>
      <c r="D8" s="40">
        <f t="shared" si="0"/>
        <v>2.9499999999999998E-2</v>
      </c>
      <c r="E8" s="50">
        <f>'Ultimo Cost Sheet'!$C$27*'Payment Plans'!D8</f>
        <v>82962.112499999988</v>
      </c>
    </row>
    <row r="9" spans="1:5">
      <c r="A9" s="39" t="s">
        <v>30</v>
      </c>
      <c r="B9" s="40">
        <v>2.9499999999999998E-2</v>
      </c>
      <c r="C9" s="40"/>
      <c r="D9" s="40">
        <f t="shared" si="0"/>
        <v>2.9499999999999998E-2</v>
      </c>
      <c r="E9" s="50">
        <f>'Ultimo Cost Sheet'!$C$27*'Payment Plans'!D9</f>
        <v>82962.112499999988</v>
      </c>
    </row>
    <row r="10" spans="1:5">
      <c r="A10" s="39" t="s">
        <v>31</v>
      </c>
      <c r="B10" s="40">
        <v>2.9499999999999998E-2</v>
      </c>
      <c r="C10" s="40"/>
      <c r="D10" s="40">
        <f t="shared" si="0"/>
        <v>2.9499999999999998E-2</v>
      </c>
      <c r="E10" s="50">
        <f>'Ultimo Cost Sheet'!$C$27*'Payment Plans'!D10</f>
        <v>82962.112499999988</v>
      </c>
    </row>
    <row r="11" spans="1:5">
      <c r="A11" s="39" t="s">
        <v>32</v>
      </c>
      <c r="B11" s="40">
        <v>2.9499999999999998E-2</v>
      </c>
      <c r="C11" s="40"/>
      <c r="D11" s="40">
        <f t="shared" si="0"/>
        <v>2.9499999999999998E-2</v>
      </c>
      <c r="E11" s="50">
        <f>'Ultimo Cost Sheet'!$C$27*'Payment Plans'!D11</f>
        <v>82962.112499999988</v>
      </c>
    </row>
    <row r="12" spans="1:5">
      <c r="A12" s="39" t="s">
        <v>33</v>
      </c>
      <c r="B12" s="40">
        <v>2.9499999999999998E-2</v>
      </c>
      <c r="C12" s="40"/>
      <c r="D12" s="40">
        <f t="shared" si="0"/>
        <v>2.9499999999999998E-2</v>
      </c>
      <c r="E12" s="50">
        <f>'Ultimo Cost Sheet'!$C$27*'Payment Plans'!D12</f>
        <v>82962.112499999988</v>
      </c>
    </row>
    <row r="13" spans="1:5">
      <c r="A13" s="39" t="s">
        <v>34</v>
      </c>
      <c r="B13" s="40">
        <v>2.9499999999999998E-2</v>
      </c>
      <c r="C13" s="40"/>
      <c r="D13" s="40">
        <f t="shared" si="0"/>
        <v>2.9499999999999998E-2</v>
      </c>
      <c r="E13" s="50">
        <f>'Ultimo Cost Sheet'!$C$27*'Payment Plans'!D13</f>
        <v>82962.112499999988</v>
      </c>
    </row>
    <row r="14" spans="1:5">
      <c r="A14" s="39" t="s">
        <v>35</v>
      </c>
      <c r="B14" s="40">
        <v>2.9499999999999998E-2</v>
      </c>
      <c r="C14" s="40"/>
      <c r="D14" s="40">
        <f t="shared" si="0"/>
        <v>2.9499999999999998E-2</v>
      </c>
      <c r="E14" s="50">
        <f>'Ultimo Cost Sheet'!$C$27*'Payment Plans'!D14</f>
        <v>82962.112499999988</v>
      </c>
    </row>
    <row r="15" spans="1:5">
      <c r="A15" s="39" t="s">
        <v>36</v>
      </c>
      <c r="B15" s="40">
        <v>2.9499999999999998E-2</v>
      </c>
      <c r="C15" s="40"/>
      <c r="D15" s="40">
        <f t="shared" si="0"/>
        <v>2.9499999999999998E-2</v>
      </c>
      <c r="E15" s="50">
        <f>'Ultimo Cost Sheet'!$C$27*'Payment Plans'!D15</f>
        <v>82962.112499999988</v>
      </c>
    </row>
    <row r="16" spans="1:5">
      <c r="A16" s="39" t="s">
        <v>37</v>
      </c>
      <c r="B16" s="40">
        <v>2.9499999999999998E-2</v>
      </c>
      <c r="C16" s="40"/>
      <c r="D16" s="40">
        <f t="shared" si="0"/>
        <v>2.9499999999999998E-2</v>
      </c>
      <c r="E16" s="50">
        <f>'Ultimo Cost Sheet'!$C$27*'Payment Plans'!D16</f>
        <v>82962.112499999988</v>
      </c>
    </row>
    <row r="17" spans="1:5">
      <c r="A17" s="39" t="s">
        <v>38</v>
      </c>
      <c r="B17" s="40">
        <v>2.9499999999999998E-2</v>
      </c>
      <c r="C17" s="40">
        <v>0.06</v>
      </c>
      <c r="D17" s="40">
        <f t="shared" si="0"/>
        <v>8.9499999999999996E-2</v>
      </c>
      <c r="E17" s="50">
        <f>'Ultimo Cost Sheet'!$C$27*'Payment Plans'!D17</f>
        <v>251698.61249999999</v>
      </c>
    </row>
    <row r="18" spans="1:5">
      <c r="A18" s="39" t="s">
        <v>41</v>
      </c>
      <c r="B18" s="40">
        <v>2.9499999999999998E-2</v>
      </c>
      <c r="C18" s="40">
        <v>0.06</v>
      </c>
      <c r="D18" s="40">
        <f t="shared" si="0"/>
        <v>8.9499999999999996E-2</v>
      </c>
      <c r="E18" s="50">
        <f>'Ultimo Cost Sheet'!$C$27*'Payment Plans'!D18</f>
        <v>251698.61249999999</v>
      </c>
    </row>
    <row r="19" spans="1:5">
      <c r="A19" s="39" t="s">
        <v>42</v>
      </c>
      <c r="B19" s="40">
        <v>2.9499999999999998E-2</v>
      </c>
      <c r="C19" s="40">
        <v>0.06</v>
      </c>
      <c r="D19" s="40">
        <f t="shared" si="0"/>
        <v>8.9499999999999996E-2</v>
      </c>
      <c r="E19" s="50">
        <f>'Ultimo Cost Sheet'!$C$27*'Payment Plans'!D19</f>
        <v>251698.61249999999</v>
      </c>
    </row>
    <row r="20" spans="1:5" ht="28">
      <c r="A20" s="41" t="s">
        <v>43</v>
      </c>
      <c r="B20" s="40">
        <v>2.9499999999999998E-2</v>
      </c>
      <c r="C20" s="40">
        <v>0.06</v>
      </c>
      <c r="D20" s="40">
        <f t="shared" si="0"/>
        <v>8.9499999999999996E-2</v>
      </c>
      <c r="E20" s="50">
        <f>'Ultimo Cost Sheet'!$C$27*'Payment Plans'!D20</f>
        <v>251698.61249999999</v>
      </c>
    </row>
    <row r="21" spans="1:5">
      <c r="A21" s="42" t="s">
        <v>44</v>
      </c>
      <c r="B21" s="40">
        <v>2.9499999999999998E-2</v>
      </c>
      <c r="C21" s="40">
        <v>0.06</v>
      </c>
      <c r="D21" s="40">
        <f t="shared" si="0"/>
        <v>8.9499999999999996E-2</v>
      </c>
      <c r="E21" s="50">
        <f>'Ultimo Cost Sheet'!$C$27*'Payment Plans'!D21</f>
        <v>251698.61249999999</v>
      </c>
    </row>
    <row r="22" spans="1:5">
      <c r="A22" s="39" t="s">
        <v>45</v>
      </c>
      <c r="B22" s="40">
        <v>0</v>
      </c>
      <c r="C22" s="40">
        <v>7.0000000000000007E-2</v>
      </c>
      <c r="D22" s="40">
        <f t="shared" si="0"/>
        <v>7.0000000000000007E-2</v>
      </c>
      <c r="E22" s="50">
        <f>'Ultimo Cost Sheet'!$C$27*'Payment Plans'!D22</f>
        <v>196859.25000000003</v>
      </c>
    </row>
    <row r="23" spans="1:5">
      <c r="A23" s="43" t="s">
        <v>23</v>
      </c>
      <c r="B23" s="44">
        <f>SUM(B2:B22)</f>
        <v>0.62999999999999967</v>
      </c>
      <c r="C23" s="44">
        <f>SUM(C2:C22)</f>
        <v>0.37</v>
      </c>
      <c r="D23" s="44">
        <f>B23+C23</f>
        <v>0.99999999999999967</v>
      </c>
    </row>
    <row r="27" spans="1:5">
      <c r="B27" s="15"/>
      <c r="C27" s="15"/>
      <c r="D27" s="15"/>
    </row>
    <row r="28" spans="1:5">
      <c r="A28" t="s">
        <v>126</v>
      </c>
      <c r="B28" s="15"/>
      <c r="C28" s="15"/>
      <c r="D28" s="15"/>
    </row>
    <row r="29" spans="1:5">
      <c r="A29" s="54" t="s">
        <v>60</v>
      </c>
      <c r="B29" s="15"/>
      <c r="D29" s="15"/>
    </row>
    <row r="30" spans="1:5">
      <c r="A30" t="s">
        <v>55</v>
      </c>
      <c r="B30" s="15">
        <v>0.05</v>
      </c>
      <c r="C30" s="15"/>
      <c r="D30" s="15"/>
    </row>
    <row r="31" spans="1:5">
      <c r="A31" t="s">
        <v>61</v>
      </c>
      <c r="B31" s="15">
        <v>0.8</v>
      </c>
      <c r="C31" t="s">
        <v>62</v>
      </c>
    </row>
    <row r="32" spans="1:5">
      <c r="A32" t="s">
        <v>53</v>
      </c>
      <c r="B32" s="15">
        <v>0.15</v>
      </c>
    </row>
    <row r="33" spans="1:5">
      <c r="A33" t="s">
        <v>63</v>
      </c>
    </row>
    <row r="37" spans="1:5">
      <c r="A37" s="54" t="str">
        <f>'Ultimo Cost Sheet'!P3</f>
        <v>Home @1% Per Month</v>
      </c>
      <c r="D37" t="s">
        <v>64</v>
      </c>
    </row>
    <row r="38" spans="1:5">
      <c r="A38" t="s">
        <v>55</v>
      </c>
      <c r="B38" s="51">
        <v>0.111</v>
      </c>
      <c r="D38" s="51">
        <v>0.33300000000000002</v>
      </c>
    </row>
    <row r="39" spans="1:5">
      <c r="A39" t="s">
        <v>65</v>
      </c>
      <c r="B39" s="51">
        <v>0.33300000000000002</v>
      </c>
    </row>
    <row r="40" spans="1:5">
      <c r="A40" t="s">
        <v>66</v>
      </c>
      <c r="B40" s="51">
        <v>0.223</v>
      </c>
      <c r="C40" t="s">
        <v>67</v>
      </c>
      <c r="D40" s="51">
        <v>0.33300000000000002</v>
      </c>
      <c r="E40" t="s">
        <v>68</v>
      </c>
    </row>
    <row r="41" spans="1:5">
      <c r="A41" t="s">
        <v>69</v>
      </c>
      <c r="B41" s="51">
        <v>0.33300000000000002</v>
      </c>
      <c r="D41" s="51">
        <v>0.33300000000000002</v>
      </c>
    </row>
    <row r="42" spans="1:5">
      <c r="A42" t="s">
        <v>70</v>
      </c>
      <c r="B42" t="s">
        <v>71</v>
      </c>
      <c r="D42" t="s">
        <v>72</v>
      </c>
    </row>
    <row r="46" spans="1:5">
      <c r="A46" s="54" t="str">
        <f>'Ultimo Cost Sheet'!P4</f>
        <v>Super 33 Flexi</v>
      </c>
      <c r="B46" t="s">
        <v>73</v>
      </c>
    </row>
    <row r="47" spans="1:5">
      <c r="A47" t="s">
        <v>55</v>
      </c>
      <c r="B47" s="51">
        <v>0.111</v>
      </c>
    </row>
    <row r="48" spans="1:5">
      <c r="A48" t="s">
        <v>74</v>
      </c>
      <c r="B48" s="51">
        <v>0.222</v>
      </c>
    </row>
    <row r="49" spans="1:3">
      <c r="A49" t="s">
        <v>75</v>
      </c>
      <c r="B49" s="51">
        <v>0.33300000000000002</v>
      </c>
    </row>
    <row r="50" spans="1:3">
      <c r="A50" t="s">
        <v>53</v>
      </c>
      <c r="B50" s="51">
        <v>0.33300000000000002</v>
      </c>
    </row>
    <row r="54" spans="1:3">
      <c r="A54" s="54" t="str">
        <f>'Ultimo Cost Sheet'!P5</f>
        <v>Assured Rental</v>
      </c>
    </row>
    <row r="55" spans="1:3">
      <c r="A55" t="s">
        <v>55</v>
      </c>
      <c r="B55" s="15">
        <v>0.1</v>
      </c>
    </row>
    <row r="56" spans="1:3">
      <c r="A56" t="s">
        <v>61</v>
      </c>
      <c r="B56" t="s">
        <v>76</v>
      </c>
      <c r="C56" t="s">
        <v>77</v>
      </c>
    </row>
    <row r="57" spans="1:3">
      <c r="A57" t="s">
        <v>78</v>
      </c>
      <c r="B57" s="15">
        <v>0.1</v>
      </c>
    </row>
    <row r="58" spans="1:3">
      <c r="A58" t="s">
        <v>79</v>
      </c>
      <c r="B58" s="15">
        <v>0.1</v>
      </c>
    </row>
    <row r="59" spans="1:3">
      <c r="A59" t="s">
        <v>80</v>
      </c>
      <c r="B59" s="15">
        <v>0.1</v>
      </c>
    </row>
    <row r="60" spans="1:3">
      <c r="A60" t="s">
        <v>81</v>
      </c>
      <c r="B60" s="15">
        <v>0.1</v>
      </c>
    </row>
    <row r="61" spans="1:3">
      <c r="A61" t="s">
        <v>53</v>
      </c>
      <c r="B61" s="15">
        <v>0.1</v>
      </c>
    </row>
    <row r="62" spans="1:3">
      <c r="A62" t="s">
        <v>82</v>
      </c>
    </row>
    <row r="63" spans="1:3">
      <c r="A63" t="s">
        <v>83</v>
      </c>
    </row>
  </sheetData>
  <phoneticPr fontId="1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Ultimo Cost Sheet</vt:lpstr>
      <vt:lpstr>Payment Plans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Ritesh Girdhar</dc:creator>
  <cp:lastModifiedBy>Vineet Girotra</cp:lastModifiedBy>
  <dcterms:created xsi:type="dcterms:W3CDTF">2014-03-21T03:18:10Z</dcterms:created>
  <dcterms:modified xsi:type="dcterms:W3CDTF">2016-08-23T06:14:09Z</dcterms:modified>
</cp:coreProperties>
</file>